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t\Documents\Composites\Videos\Carbon Wing\"/>
    </mc:Choice>
  </mc:AlternateContent>
  <bookViews>
    <workbookView xWindow="0" yWindow="0" windowWidth="23040" windowHeight="10176"/>
  </bookViews>
  <sheets>
    <sheet name="Calculations" sheetId="1" r:id="rId1"/>
    <sheet name="Airfoil Resource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1" l="1"/>
  <c r="C25" i="1"/>
  <c r="C14" i="1"/>
  <c r="G7" i="1"/>
  <c r="C27" i="1" s="1"/>
  <c r="C9" i="1"/>
  <c r="C13" i="1"/>
  <c r="C28" i="1" l="1"/>
  <c r="G8" i="1"/>
  <c r="G26" i="1" s="1"/>
  <c r="G25" i="1"/>
  <c r="G27" i="1" s="1"/>
  <c r="G9" i="1"/>
  <c r="C15" i="1"/>
  <c r="C22" i="1" l="1"/>
  <c r="G31" i="1"/>
  <c r="G32" i="1"/>
  <c r="G19" i="1"/>
  <c r="G22" i="1"/>
  <c r="G28" i="1"/>
  <c r="C19" i="1"/>
  <c r="G33" i="1" l="1"/>
  <c r="G35" i="1" s="1"/>
</calcChain>
</file>

<file path=xl/comments1.xml><?xml version="1.0" encoding="utf-8"?>
<comments xmlns="http://schemas.openxmlformats.org/spreadsheetml/2006/main">
  <authors>
    <author>Matthew Chapman</author>
  </authors>
  <commentList>
    <comment ref="G6" authorId="0" shapeId="0">
      <text>
        <r>
          <rPr>
            <b/>
            <sz val="9"/>
            <color indexed="81"/>
            <rFont val="Tahoma"/>
            <family val="2"/>
          </rPr>
          <t>Matthew Chapman:</t>
        </r>
        <r>
          <rPr>
            <sz val="9"/>
            <color indexed="81"/>
            <rFont val="Tahoma"/>
            <family val="2"/>
          </rPr>
          <t xml:space="preserve">
This should be at least 50% higher than your working max speed
</t>
        </r>
      </text>
    </comment>
    <comment ref="B24" authorId="0" shapeId="0">
      <text>
        <r>
          <rPr>
            <b/>
            <sz val="9"/>
            <color indexed="81"/>
            <rFont val="Tahoma"/>
            <family val="2"/>
          </rPr>
          <t>Matthew Chapman:</t>
        </r>
        <r>
          <rPr>
            <sz val="9"/>
            <color indexed="81"/>
            <rFont val="Tahoma"/>
            <family val="2"/>
          </rPr>
          <t xml:space="preserve">
This section is for hollow wings, if you are using a foam core (read: polyurathane or PVC) you can ignore this as you do not have un-supported skins. 
XPS Foam cores may be able to ignore this measure, but your milage may vary and it is worth checking experimentially with a sample before committing to building.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Matthew Chapman:</t>
        </r>
        <r>
          <rPr>
            <sz val="9"/>
            <color indexed="81"/>
            <rFont val="Tahoma"/>
            <family val="2"/>
          </rPr>
          <t xml:space="preserve">
Use to determine minimum bolt size. M6 bolts has a shear capacity of at least 4KN. M8 has at least 8KN. (both worst case senarios).
http://www.blacksfasteners.co.nz/assets/BoltShearCapacity_14-15.pdf
 </t>
        </r>
      </text>
    </comment>
    <comment ref="C28" authorId="0" shapeId="0">
      <text>
        <r>
          <rPr>
            <b/>
            <sz val="9"/>
            <color indexed="81"/>
            <rFont val="Tahoma"/>
            <family val="2"/>
          </rPr>
          <t>Matthew Chapman:</t>
        </r>
        <r>
          <rPr>
            <sz val="9"/>
            <color indexed="81"/>
            <rFont val="Tahoma"/>
            <family val="2"/>
          </rPr>
          <t xml:space="preserve">
Note, this is a critical deflection, this should be below 1mm to ensure the airfoil profile is maintained. 
If you have done other maths to prove it's ok, then crack on.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Matthew Chapman:</t>
        </r>
        <r>
          <rPr>
            <sz val="9"/>
            <color indexed="81"/>
            <rFont val="Tahoma"/>
            <family val="2"/>
          </rPr>
          <t xml:space="preserve">
Use to determine minimum bolt size. M6 bolts has a shear capacity of at least 4KN. M8 has at least 8KN. (both worst case senarios).
http://www.blacksfasteners.co.nz/assets/BoltShearCapacity_14-15.pdf</t>
        </r>
      </text>
    </comment>
  </commentList>
</comments>
</file>

<file path=xl/sharedStrings.xml><?xml version="1.0" encoding="utf-8"?>
<sst xmlns="http://schemas.openxmlformats.org/spreadsheetml/2006/main" count="86" uniqueCount="58">
  <si>
    <t>L:</t>
  </si>
  <si>
    <t>W:</t>
  </si>
  <si>
    <t>T:</t>
  </si>
  <si>
    <t>Cl:</t>
  </si>
  <si>
    <t>Vmax:</t>
  </si>
  <si>
    <t>km/h</t>
  </si>
  <si>
    <t>N</t>
  </si>
  <si>
    <t>Kg</t>
  </si>
  <si>
    <t>Layer Thick:</t>
  </si>
  <si>
    <t>mm</t>
  </si>
  <si>
    <t>m</t>
  </si>
  <si>
    <t>Mpa</t>
  </si>
  <si>
    <t>Gpa</t>
  </si>
  <si>
    <t>N/m</t>
  </si>
  <si>
    <t>Wing Properties</t>
  </si>
  <si>
    <t>[non-dim]</t>
  </si>
  <si>
    <t>Wing Load</t>
  </si>
  <si>
    <t>Load:</t>
  </si>
  <si>
    <t>Load dist:</t>
  </si>
  <si>
    <t>Material Properties</t>
  </si>
  <si>
    <t>Moment of Area Calculations</t>
  </si>
  <si>
    <t>m^4</t>
  </si>
  <si>
    <t>[mm]</t>
  </si>
  <si>
    <t>Strut Gap:</t>
  </si>
  <si>
    <t>Free End Max Deflection</t>
  </si>
  <si>
    <t>Centre of struts max deflection</t>
  </si>
  <si>
    <t>Overhang:</t>
  </si>
  <si>
    <t>Stress at Support</t>
  </si>
  <si>
    <t>Stress at Centre</t>
  </si>
  <si>
    <t>Wing Bending Model</t>
  </si>
  <si>
    <t>Stress:</t>
  </si>
  <si>
    <t>Deflection:</t>
  </si>
  <si>
    <t>Total MoA:</t>
  </si>
  <si>
    <t>Inner MoA:</t>
  </si>
  <si>
    <t>Outer MoA:</t>
  </si>
  <si>
    <t>E (Cf):</t>
  </si>
  <si>
    <t>Max Stress:</t>
  </si>
  <si>
    <t>This model simplifies a wing construction into a hollow oval section. Supported and loaded as indicated below.</t>
  </si>
  <si>
    <t>Reaction Loads (Supports)</t>
  </si>
  <si>
    <t xml:space="preserve">The layup for the skin is alternating layers of 0/90 and 45/45 to create a qusai-orthentropic skin. </t>
  </si>
  <si>
    <t>Assumed that the centre for lift occurs at 25% chord</t>
  </si>
  <si>
    <t>Fwd Bolt:</t>
  </si>
  <si>
    <t>Rear Bolt:</t>
  </si>
  <si>
    <t>Shear Loads (Max, Magnitude)</t>
  </si>
  <si>
    <t>Maximum:</t>
  </si>
  <si>
    <t>Inboard:</t>
  </si>
  <si>
    <t>Outboard:</t>
  </si>
  <si>
    <t>Shear Stress</t>
  </si>
  <si>
    <t>Materials properties: http://www.performance-composites.com/carbonfibre/mechanicalproperties_2.asp</t>
  </si>
  <si>
    <t>Spar Thicknesses:</t>
  </si>
  <si>
    <t>http://airfoiltools.com/airfoil/details?airfoil=e423-il#polars</t>
  </si>
  <si>
    <t>http://airfoiltools.com/airfoil/details?airfoil=e216-il#polars</t>
  </si>
  <si>
    <t>&lt;----- this one</t>
  </si>
  <si>
    <t>Unsupported Deflection Between Spars</t>
  </si>
  <si>
    <t>Spar locations at 15% and 60% chord. Spar layup should be 45/45 for every layer to the required thickness</t>
  </si>
  <si>
    <t>Span Dist:</t>
  </si>
  <si>
    <t>Skin MoA:</t>
  </si>
  <si>
    <t>Deflection (max):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</si>
</sst>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0" fillId="2" borderId="1" xfId="0" applyFill="1" applyBorder="1"/>
    <xf numFmtId="0" fontId="0" fillId="4" borderId="1" xfId="0" applyFill="1" applyBorder="1"/>
    <xf numFmtId="0" fontId="0" fillId="3" borderId="5" xfId="0" applyFill="1" applyBorder="1"/>
    <xf numFmtId="0" fontId="0" fillId="5" borderId="6" xfId="0" applyFill="1" applyBorder="1"/>
    <xf numFmtId="0" fontId="0" fillId="3" borderId="7" xfId="0" applyFill="1" applyBorder="1"/>
    <xf numFmtId="0" fontId="0" fillId="4" borderId="8" xfId="0" applyFill="1" applyBorder="1"/>
    <xf numFmtId="0" fontId="0" fillId="5" borderId="9" xfId="0" applyFill="1" applyBorder="1"/>
    <xf numFmtId="0" fontId="0" fillId="2" borderId="8" xfId="0" applyFill="1" applyBorder="1"/>
    <xf numFmtId="164" fontId="0" fillId="4" borderId="8" xfId="0" applyNumberFormat="1" applyFill="1" applyBorder="1"/>
    <xf numFmtId="1" fontId="0" fillId="4" borderId="1" xfId="0" applyNumberFormat="1" applyFill="1" applyBorder="1"/>
    <xf numFmtId="1" fontId="0" fillId="4" borderId="8" xfId="0" applyNumberFormat="1" applyFill="1" applyBorder="1"/>
    <xf numFmtId="2" fontId="0" fillId="4" borderId="8" xfId="0" applyNumberFormat="1" applyFill="1" applyBorder="1"/>
    <xf numFmtId="0" fontId="5" fillId="0" borderId="0" xfId="1"/>
    <xf numFmtId="165" fontId="0" fillId="4" borderId="1" xfId="0" applyNumberFormat="1" applyFill="1" applyBorder="1"/>
    <xf numFmtId="165" fontId="0" fillId="4" borderId="8" xfId="0" applyNumberFormat="1" applyFill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106680</xdr:colOff>
      <xdr:row>11</xdr:row>
      <xdr:rowOff>105146</xdr:rowOff>
    </xdr:from>
    <xdr:to>
      <xdr:col>19</xdr:col>
      <xdr:colOff>15240</xdr:colOff>
      <xdr:row>30</xdr:row>
      <xdr:rowOff>53340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6620" y="2353046"/>
          <a:ext cx="5394960" cy="3483874"/>
        </a:xfrm>
        <a:prstGeom prst="rect">
          <a:avLst/>
        </a:prstGeom>
      </xdr:spPr>
    </xdr:pic>
    <xdr:clientData/>
  </xdr:twoCellAnchor>
  <xdr:twoCellAnchor>
    <xdr:from>
      <xdr:col>10</xdr:col>
      <xdr:colOff>327660</xdr:colOff>
      <xdr:row>19</xdr:row>
      <xdr:rowOff>38100</xdr:rowOff>
    </xdr:from>
    <xdr:to>
      <xdr:col>14</xdr:col>
      <xdr:colOff>464820</xdr:colOff>
      <xdr:row>20</xdr:row>
      <xdr:rowOff>45720</xdr:rowOff>
    </xdr:to>
    <xdr:sp macro="" textlink="">
      <xdr:nvSpPr>
        <xdr:cNvPr id="2" name="Rectangle 1"/>
        <xdr:cNvSpPr/>
      </xdr:nvSpPr>
      <xdr:spPr>
        <a:xfrm>
          <a:off x="8031480" y="3771900"/>
          <a:ext cx="2575560" cy="19812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airfoiltools.com/airfoil/details?airfoil=e216-il" TargetMode="External"/><Relationship Id="rId1" Type="http://schemas.openxmlformats.org/officeDocument/2006/relationships/hyperlink" Target="http://airfoiltools.com/airfoil/details?airfoil=e423-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K35"/>
  <sheetViews>
    <sheetView tabSelected="1" workbookViewId="0">
      <selection activeCell="I11" sqref="I11"/>
    </sheetView>
  </sheetViews>
  <sheetFormatPr defaultRowHeight="14.4" x14ac:dyDescent="0.3"/>
  <cols>
    <col min="2" max="2" width="15.6640625" customWidth="1"/>
    <col min="3" max="3" width="11.6640625" customWidth="1"/>
    <col min="4" max="4" width="12" bestFit="1" customWidth="1"/>
    <col min="6" max="6" width="15.5546875" customWidth="1"/>
    <col min="7" max="7" width="12.6640625" bestFit="1" customWidth="1"/>
    <col min="8" max="8" width="9.21875" customWidth="1"/>
  </cols>
  <sheetData>
    <row r="2" spans="2:11" ht="31.2" x14ac:dyDescent="0.6">
      <c r="B2" s="20" t="s">
        <v>29</v>
      </c>
      <c r="C2" s="20"/>
      <c r="D2" s="20"/>
      <c r="E2" s="20"/>
      <c r="F2" s="20"/>
      <c r="G2" s="20"/>
      <c r="H2" s="20"/>
      <c r="K2" t="s">
        <v>37</v>
      </c>
    </row>
    <row r="3" spans="2:11" ht="15" thickBot="1" x14ac:dyDescent="0.35">
      <c r="K3" t="s">
        <v>39</v>
      </c>
    </row>
    <row r="4" spans="2:11" x14ac:dyDescent="0.3">
      <c r="B4" s="21" t="s">
        <v>14</v>
      </c>
      <c r="C4" s="22"/>
      <c r="D4" s="23"/>
      <c r="F4" s="21" t="s">
        <v>16</v>
      </c>
      <c r="G4" s="22"/>
      <c r="H4" s="23"/>
    </row>
    <row r="5" spans="2:11" x14ac:dyDescent="0.3">
      <c r="B5" s="4" t="s">
        <v>0</v>
      </c>
      <c r="C5" s="2">
        <v>0.7</v>
      </c>
      <c r="D5" s="5" t="s">
        <v>10</v>
      </c>
      <c r="F5" s="4" t="s">
        <v>3</v>
      </c>
      <c r="G5" s="2">
        <v>2</v>
      </c>
      <c r="H5" s="5" t="s">
        <v>15</v>
      </c>
      <c r="K5" t="s">
        <v>54</v>
      </c>
    </row>
    <row r="6" spans="2:11" x14ac:dyDescent="0.3">
      <c r="B6" s="4" t="s">
        <v>1</v>
      </c>
      <c r="C6" s="2">
        <v>0.3</v>
      </c>
      <c r="D6" s="5" t="s">
        <v>10</v>
      </c>
      <c r="F6" s="4" t="s">
        <v>4</v>
      </c>
      <c r="G6" s="2">
        <v>250</v>
      </c>
      <c r="H6" s="5" t="s">
        <v>5</v>
      </c>
      <c r="K6" t="s">
        <v>40</v>
      </c>
    </row>
    <row r="7" spans="2:11" x14ac:dyDescent="0.3">
      <c r="B7" s="4" t="s">
        <v>2</v>
      </c>
      <c r="C7" s="2">
        <v>0.05</v>
      </c>
      <c r="D7" s="5" t="s">
        <v>10</v>
      </c>
      <c r="F7" s="4" t="s">
        <v>17</v>
      </c>
      <c r="G7" s="3">
        <f>0.5*1.225*((G6/3.6)^2)*G5*(C6*C5)</f>
        <v>1240.596064814815</v>
      </c>
      <c r="H7" s="5" t="s">
        <v>6</v>
      </c>
    </row>
    <row r="8" spans="2:11" x14ac:dyDescent="0.3">
      <c r="B8" s="4" t="s">
        <v>23</v>
      </c>
      <c r="C8" s="2">
        <v>0.3</v>
      </c>
      <c r="D8" s="5" t="s">
        <v>10</v>
      </c>
      <c r="F8" s="4" t="s">
        <v>17</v>
      </c>
      <c r="G8" s="3">
        <f>G7/9.8</f>
        <v>126.59143518518519</v>
      </c>
      <c r="H8" s="5" t="s">
        <v>7</v>
      </c>
      <c r="K8" t="s">
        <v>48</v>
      </c>
    </row>
    <row r="9" spans="2:11" ht="15" thickBot="1" x14ac:dyDescent="0.35">
      <c r="B9" s="6" t="s">
        <v>26</v>
      </c>
      <c r="C9" s="7">
        <f>(C5-C8)/2</f>
        <v>0.19999999999999998</v>
      </c>
      <c r="D9" s="8" t="s">
        <v>10</v>
      </c>
      <c r="F9" s="6" t="s">
        <v>18</v>
      </c>
      <c r="G9" s="7">
        <f>G7/C5</f>
        <v>1772.2800925925931</v>
      </c>
      <c r="H9" s="8" t="s">
        <v>13</v>
      </c>
    </row>
    <row r="10" spans="2:11" x14ac:dyDescent="0.3">
      <c r="C10" s="1"/>
    </row>
    <row r="11" spans="2:11" ht="15" thickBot="1" x14ac:dyDescent="0.35"/>
    <row r="12" spans="2:11" x14ac:dyDescent="0.3">
      <c r="B12" s="21" t="s">
        <v>20</v>
      </c>
      <c r="C12" s="22"/>
      <c r="D12" s="23"/>
      <c r="F12" s="21" t="s">
        <v>19</v>
      </c>
      <c r="G12" s="22"/>
      <c r="H12" s="23"/>
    </row>
    <row r="13" spans="2:11" x14ac:dyDescent="0.3">
      <c r="B13" s="4" t="s">
        <v>34</v>
      </c>
      <c r="C13" s="3">
        <f>(PI()/4)*(C6/2)*((C7/2)^3)</f>
        <v>1.8407769454627698E-6</v>
      </c>
      <c r="D13" s="5" t="s">
        <v>21</v>
      </c>
      <c r="F13" s="4" t="s">
        <v>35</v>
      </c>
      <c r="G13" s="2">
        <v>45</v>
      </c>
      <c r="H13" s="5" t="s">
        <v>12</v>
      </c>
    </row>
    <row r="14" spans="2:11" x14ac:dyDescent="0.3">
      <c r="B14" s="4" t="s">
        <v>33</v>
      </c>
      <c r="C14" s="3">
        <f>(PI()/4)*(((C6-(2*(G14/1000)))/2)*((C7-(2*(G14/1000)))/2)^3)</f>
        <v>1.4933835203771523E-6</v>
      </c>
      <c r="D14" s="5" t="s">
        <v>21</v>
      </c>
      <c r="F14" s="4" t="s">
        <v>8</v>
      </c>
      <c r="G14" s="2">
        <v>1.6</v>
      </c>
      <c r="H14" s="5" t="s">
        <v>9</v>
      </c>
    </row>
    <row r="15" spans="2:11" ht="15" thickBot="1" x14ac:dyDescent="0.35">
      <c r="B15" s="6" t="s">
        <v>32</v>
      </c>
      <c r="C15" s="7">
        <f>C13-C14</f>
        <v>3.4739342508561748E-7</v>
      </c>
      <c r="D15" s="8" t="s">
        <v>21</v>
      </c>
      <c r="F15" s="6" t="s">
        <v>36</v>
      </c>
      <c r="G15" s="9">
        <v>350</v>
      </c>
      <c r="H15" s="8" t="s">
        <v>11</v>
      </c>
    </row>
    <row r="17" spans="2:8" ht="15" thickBot="1" x14ac:dyDescent="0.35"/>
    <row r="18" spans="2:8" x14ac:dyDescent="0.3">
      <c r="B18" s="21" t="s">
        <v>24</v>
      </c>
      <c r="C18" s="22"/>
      <c r="D18" s="23"/>
      <c r="F18" s="21" t="s">
        <v>27</v>
      </c>
      <c r="G18" s="22"/>
      <c r="H18" s="23"/>
    </row>
    <row r="19" spans="2:8" ht="15" thickBot="1" x14ac:dyDescent="0.35">
      <c r="B19" s="6" t="s">
        <v>31</v>
      </c>
      <c r="C19" s="7">
        <f>((G9*C9)/(24*G13*1000000000*C15*C5))*(3*(C9^2)*(C9+2*(C8*2)-((C8*2)^3)))*1000</f>
        <v>0.19175730318163275</v>
      </c>
      <c r="D19" s="8" t="s">
        <v>22</v>
      </c>
      <c r="F19" s="6" t="s">
        <v>30</v>
      </c>
      <c r="G19" s="10">
        <f>((G9*C9^2)/(2*C5*(C15/(C7/2))))/1000000</f>
        <v>3.6440365891779871</v>
      </c>
      <c r="H19" s="8" t="s">
        <v>11</v>
      </c>
    </row>
    <row r="20" spans="2:8" ht="15" thickBot="1" x14ac:dyDescent="0.35"/>
    <row r="21" spans="2:8" x14ac:dyDescent="0.3">
      <c r="B21" s="21" t="s">
        <v>25</v>
      </c>
      <c r="C21" s="22"/>
      <c r="D21" s="23"/>
      <c r="F21" s="21" t="s">
        <v>28</v>
      </c>
      <c r="G21" s="22"/>
      <c r="H21" s="23"/>
    </row>
    <row r="22" spans="2:8" ht="15" thickBot="1" x14ac:dyDescent="0.35">
      <c r="B22" s="6" t="s">
        <v>31</v>
      </c>
      <c r="C22" s="7">
        <f>((G9*C8*C8)/(24*G13*1000000000*C5))*((C8*C8)+((C8*2)^2)-(6*(C9^2)))*1000</f>
        <v>4.4307002314814825E-8</v>
      </c>
      <c r="D22" s="8" t="s">
        <v>22</v>
      </c>
      <c r="F22" s="6" t="s">
        <v>30</v>
      </c>
      <c r="G22" s="10">
        <f>(((G9)/(2*C5*(C15/(C7/2))))*((C9^2)-(0.25*((C8*2)^2)))/1000000)</f>
        <v>-4.5550457364724846</v>
      </c>
      <c r="H22" s="8" t="s">
        <v>11</v>
      </c>
    </row>
    <row r="23" spans="2:8" ht="15" thickBot="1" x14ac:dyDescent="0.35"/>
    <row r="24" spans="2:8" x14ac:dyDescent="0.3">
      <c r="B24" s="17" t="s">
        <v>53</v>
      </c>
      <c r="C24" s="18"/>
      <c r="D24" s="19"/>
      <c r="F24" s="21" t="s">
        <v>38</v>
      </c>
      <c r="G24" s="22"/>
      <c r="H24" s="23"/>
    </row>
    <row r="25" spans="2:8" x14ac:dyDescent="0.3">
      <c r="B25" s="4" t="s">
        <v>55</v>
      </c>
      <c r="C25" s="15">
        <f>0.45*C6</f>
        <v>0.13500000000000001</v>
      </c>
      <c r="D25" s="5" t="s">
        <v>10</v>
      </c>
      <c r="F25" s="4" t="s">
        <v>17</v>
      </c>
      <c r="G25" s="11">
        <f>G7/2</f>
        <v>620.2980324074075</v>
      </c>
      <c r="H25" s="5" t="s">
        <v>6</v>
      </c>
    </row>
    <row r="26" spans="2:8" x14ac:dyDescent="0.3">
      <c r="B26" s="4" t="s">
        <v>56</v>
      </c>
      <c r="C26" s="3">
        <f>(1/12)*C5*(G14/1000)^3</f>
        <v>2.3893333333333331E-10</v>
      </c>
      <c r="D26" s="5" t="s">
        <v>21</v>
      </c>
      <c r="F26" s="4" t="s">
        <v>17</v>
      </c>
      <c r="G26" s="11">
        <f>G8/2</f>
        <v>63.295717592592595</v>
      </c>
      <c r="H26" s="5" t="s">
        <v>7</v>
      </c>
    </row>
    <row r="27" spans="2:8" x14ac:dyDescent="0.3">
      <c r="B27" s="4" t="s">
        <v>17</v>
      </c>
      <c r="C27" s="11">
        <f>G7/(C5*C6)*(C5*C25)</f>
        <v>558.26822916666686</v>
      </c>
      <c r="D27" s="5" t="s">
        <v>6</v>
      </c>
      <c r="F27" s="4" t="s">
        <v>41</v>
      </c>
      <c r="G27" s="11">
        <f>G25*35/45</f>
        <v>482.45402520576141</v>
      </c>
      <c r="H27" s="5" t="s">
        <v>6</v>
      </c>
    </row>
    <row r="28" spans="2:8" ht="15" thickBot="1" x14ac:dyDescent="0.35">
      <c r="B28" s="6" t="s">
        <v>57</v>
      </c>
      <c r="C28" s="16">
        <f>((5/384)*(C27*C25^3)/((G13*1000000000)*C26))*1000</f>
        <v>1.6633886843919763</v>
      </c>
      <c r="D28" s="8" t="s">
        <v>9</v>
      </c>
      <c r="F28" s="6" t="s">
        <v>42</v>
      </c>
      <c r="G28" s="12">
        <f>10*G25/45</f>
        <v>137.84400720164609</v>
      </c>
      <c r="H28" s="8" t="s">
        <v>6</v>
      </c>
    </row>
    <row r="29" spans="2:8" ht="15" thickBot="1" x14ac:dyDescent="0.35"/>
    <row r="30" spans="2:8" x14ac:dyDescent="0.3">
      <c r="F30" s="17" t="s">
        <v>43</v>
      </c>
      <c r="G30" s="18"/>
      <c r="H30" s="19"/>
    </row>
    <row r="31" spans="2:8" x14ac:dyDescent="0.3">
      <c r="F31" s="4" t="s">
        <v>46</v>
      </c>
      <c r="G31" s="11">
        <f>G9*C9</f>
        <v>354.45601851851859</v>
      </c>
      <c r="H31" s="5" t="s">
        <v>6</v>
      </c>
    </row>
    <row r="32" spans="2:8" x14ac:dyDescent="0.3">
      <c r="F32" s="4" t="s">
        <v>45</v>
      </c>
      <c r="G32" s="11">
        <f>C8*G9/2</f>
        <v>265.84201388888897</v>
      </c>
      <c r="H32" s="5" t="s">
        <v>6</v>
      </c>
    </row>
    <row r="33" spans="6:8" x14ac:dyDescent="0.3">
      <c r="F33" s="4" t="s">
        <v>44</v>
      </c>
      <c r="G33" s="11">
        <f>MAX(G31:G32)</f>
        <v>354.45601851851859</v>
      </c>
      <c r="H33" s="5" t="s">
        <v>6</v>
      </c>
    </row>
    <row r="34" spans="6:8" x14ac:dyDescent="0.3">
      <c r="F34" s="4" t="s">
        <v>49</v>
      </c>
      <c r="G34" s="2">
        <v>2.1</v>
      </c>
      <c r="H34" s="5" t="s">
        <v>9</v>
      </c>
    </row>
    <row r="35" spans="6:8" ht="15" thickBot="1" x14ac:dyDescent="0.35">
      <c r="F35" s="6" t="s">
        <v>47</v>
      </c>
      <c r="G35" s="13">
        <f>((G33*(((3*PI()/4)*(C6/2)*((C7/2)^2))-((3*PI()/4)*((C6-(2*(G14/1000)))/2)*(((C7-(2*(G14/1000)))/2)^2))))/(G34*C15))/1000000</f>
        <v>1.430104966115945E-2</v>
      </c>
      <c r="H35" s="8" t="s">
        <v>11</v>
      </c>
    </row>
  </sheetData>
  <mergeCells count="12">
    <mergeCell ref="F30:H30"/>
    <mergeCell ref="B24:D24"/>
    <mergeCell ref="B2:H2"/>
    <mergeCell ref="F24:H24"/>
    <mergeCell ref="B4:D4"/>
    <mergeCell ref="F4:H4"/>
    <mergeCell ref="F12:H12"/>
    <mergeCell ref="B12:D12"/>
    <mergeCell ref="B18:D18"/>
    <mergeCell ref="B21:D21"/>
    <mergeCell ref="F18:H18"/>
    <mergeCell ref="F21:H21"/>
  </mergeCells>
  <conditionalFormatting sqref="C28">
    <cfRule type="cellIs" dxfId="0" priority="1" operator="greaterThan">
      <formula>1</formula>
    </cfRule>
  </conditionalFormatting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workbookViewId="0">
      <selection activeCell="B2" sqref="B2"/>
    </sheetView>
  </sheetViews>
  <sheetFormatPr defaultRowHeight="14.4" x14ac:dyDescent="0.3"/>
  <sheetData>
    <row r="2" spans="2:8" x14ac:dyDescent="0.3">
      <c r="B2" s="14" t="s">
        <v>50</v>
      </c>
      <c r="H2" t="s">
        <v>52</v>
      </c>
    </row>
    <row r="4" spans="2:8" x14ac:dyDescent="0.3">
      <c r="B4" s="14" t="s">
        <v>51</v>
      </c>
    </row>
  </sheetData>
  <hyperlinks>
    <hyperlink ref="B2" r:id="rId1" location="polars" display="http://airfoiltools.com/airfoil/details?airfoil=e423-il - polars"/>
    <hyperlink ref="B4" r:id="rId2" location="polars" display="http://airfoiltools.com/airfoil/details?airfoil=e216-il - polars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Calculations</vt:lpstr>
      <vt:lpstr>Airfoil Resources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Chapman</dc:creator>
  <cp:lastModifiedBy>Matthew Chapman</cp:lastModifiedBy>
  <dcterms:created xsi:type="dcterms:W3CDTF">2019-06-03T07:32:39Z</dcterms:created>
  <dcterms:modified xsi:type="dcterms:W3CDTF">2019-12-03T10:12:21Z</dcterms:modified>
</cp:coreProperties>
</file>